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Google Drive\PERSONAL DATA\INCOME TAX\"/>
    </mc:Choice>
  </mc:AlternateContent>
  <xr:revisionPtr revIDLastSave="0" documentId="8_{0DE362F2-7FBB-41AB-9983-C6E782CDABCD}" xr6:coauthVersionLast="34" xr6:coauthVersionMax="34" xr10:uidLastSave="{00000000-0000-0000-0000-000000000000}"/>
  <bookViews>
    <workbookView xWindow="0" yWindow="0" windowWidth="23040" windowHeight="9192" activeTab="1" xr2:uid="{00000000-000D-0000-FFFF-FFFF00000000}"/>
  </bookViews>
  <sheets>
    <sheet name="Capital Gain Calculator (2)" sheetId="2" r:id="rId1"/>
    <sheet name="Capital Gain Calculato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32" i="2"/>
  <c r="E29" i="2"/>
  <c r="J22" i="2"/>
  <c r="J21" i="2"/>
  <c r="J20" i="2"/>
  <c r="J19" i="2"/>
  <c r="J18" i="2"/>
  <c r="J17" i="2"/>
  <c r="J16" i="2"/>
  <c r="J15" i="2"/>
  <c r="D15" i="2"/>
  <c r="C15" i="2"/>
  <c r="E15" i="2" s="1"/>
  <c r="J14" i="2"/>
  <c r="J13" i="2"/>
  <c r="D13" i="2"/>
  <c r="C13" i="2"/>
  <c r="E13" i="2" s="1"/>
  <c r="J12" i="2"/>
  <c r="J11" i="2"/>
  <c r="D11" i="2"/>
  <c r="C11" i="2"/>
  <c r="E11" i="2" s="1"/>
  <c r="J10" i="2"/>
  <c r="J9" i="2"/>
  <c r="B9" i="2"/>
  <c r="D9" i="2" s="1"/>
  <c r="J8" i="2"/>
  <c r="J7" i="2"/>
  <c r="J6" i="2"/>
  <c r="B6" i="2"/>
  <c r="B17" i="2" s="1"/>
  <c r="J5" i="2"/>
  <c r="D5" i="2"/>
  <c r="E5" i="2" s="1"/>
  <c r="C5" i="2"/>
  <c r="J4" i="2"/>
  <c r="J3" i="2"/>
  <c r="D3" i="2"/>
  <c r="E3" i="2" s="1"/>
  <c r="C3" i="2"/>
  <c r="E27" i="1"/>
  <c r="B27" i="1"/>
  <c r="B17" i="1"/>
  <c r="B6" i="1"/>
  <c r="E27" i="2" l="1"/>
  <c r="B21" i="2"/>
  <c r="E30" i="2"/>
  <c r="B26" i="2"/>
  <c r="B25" i="2"/>
  <c r="B23" i="2"/>
  <c r="E28" i="2"/>
  <c r="B22" i="2"/>
  <c r="B28" i="2" s="1"/>
  <c r="E31" i="2"/>
  <c r="B24" i="2"/>
  <c r="D6" i="2"/>
  <c r="C9" i="2"/>
  <c r="E9" i="2" s="1"/>
  <c r="B9" i="1"/>
  <c r="E34" i="2" l="1"/>
  <c r="E33" i="2"/>
  <c r="B27" i="2"/>
  <c r="B29" i="2"/>
  <c r="B30" i="2"/>
  <c r="B31" i="2"/>
  <c r="D15" i="1"/>
  <c r="C15" i="1"/>
  <c r="D13" i="1"/>
  <c r="C13" i="1"/>
  <c r="D11" i="1"/>
  <c r="C11" i="1"/>
  <c r="D9" i="1"/>
  <c r="C9" i="1"/>
  <c r="D5" i="1"/>
  <c r="C5" i="1"/>
  <c r="D3" i="1"/>
  <c r="C3" i="1"/>
  <c r="B32" i="2" l="1"/>
  <c r="B33" i="2" s="1"/>
  <c r="B34" i="2" s="1"/>
  <c r="B35" i="2" s="1"/>
  <c r="B37" i="2"/>
  <c r="B36" i="2"/>
  <c r="E11" i="1"/>
  <c r="E3" i="1"/>
  <c r="E15" i="1"/>
  <c r="E9" i="1"/>
  <c r="E13" i="1"/>
  <c r="E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25" i="1" l="1"/>
  <c r="E29" i="1"/>
  <c r="B23" i="1"/>
  <c r="E28" i="1"/>
  <c r="B26" i="1"/>
  <c r="B24" i="1"/>
  <c r="E30" i="1"/>
  <c r="B21" i="1"/>
  <c r="B22" i="1"/>
  <c r="B31" i="1" l="1"/>
  <c r="B29" i="1"/>
  <c r="E31" i="1"/>
  <c r="E34" i="1" s="1"/>
  <c r="B28" i="1"/>
  <c r="B30" i="1"/>
  <c r="B32" i="1" l="1"/>
  <c r="B33" i="1" s="1"/>
  <c r="B34" i="1" s="1"/>
  <c r="B35" i="1" s="1"/>
  <c r="B36" i="1" s="1"/>
  <c r="B37" i="1" s="1"/>
  <c r="E32" i="1"/>
  <c r="E33" i="1"/>
</calcChain>
</file>

<file path=xl/sharedStrings.xml><?xml version="1.0" encoding="utf-8"?>
<sst xmlns="http://schemas.openxmlformats.org/spreadsheetml/2006/main" count="136" uniqueCount="48">
  <si>
    <t>SL. NO.</t>
  </si>
  <si>
    <t>FINANCIAL YEAR</t>
  </si>
  <si>
    <t>COST INFLATION INDEX (CII)</t>
  </si>
  <si>
    <t>-</t>
  </si>
  <si>
    <t xml:space="preserve">Purchase Price </t>
  </si>
  <si>
    <t>Sale Price</t>
  </si>
  <si>
    <t xml:space="preserve">YOU ARE COVERED UNDER =  </t>
  </si>
  <si>
    <r>
      <t xml:space="preserve">LONG TERM CAPITAL GAIN CALCULATION </t>
    </r>
    <r>
      <rPr>
        <b/>
        <sz val="10"/>
        <color indexed="58"/>
        <rFont val="Calibri"/>
        <family val="2"/>
      </rPr>
      <t>(LTCG)</t>
    </r>
  </si>
  <si>
    <t>Purchase CII</t>
  </si>
  <si>
    <t>Sale CII</t>
  </si>
  <si>
    <t>Indexed Purchase Price</t>
  </si>
  <si>
    <t>Cost of Repair 1</t>
  </si>
  <si>
    <t>Cost of Repair 2</t>
  </si>
  <si>
    <t>Cost of Repair 3</t>
  </si>
  <si>
    <t>Repair 2 CII</t>
  </si>
  <si>
    <t>Repair 3 CII</t>
  </si>
  <si>
    <t>Repair 4 CII</t>
  </si>
  <si>
    <t>No of Years</t>
  </si>
  <si>
    <t>Indexed Repair1 Cost</t>
  </si>
  <si>
    <t>Indexed Repair2 Cost</t>
  </si>
  <si>
    <t>Indexed Repair3 Cost</t>
  </si>
  <si>
    <t>Total Indexed Repair Cost</t>
  </si>
  <si>
    <t>Total Cost</t>
  </si>
  <si>
    <t>Tax with Indexation @ 20%</t>
  </si>
  <si>
    <t>Cess @ 3%</t>
  </si>
  <si>
    <t>Total Capital Gains Tax</t>
  </si>
  <si>
    <r>
      <t xml:space="preserve">SHORT TERM CAPITAL GAIN CALCULATION </t>
    </r>
    <r>
      <rPr>
        <b/>
        <sz val="10"/>
        <color indexed="58"/>
        <rFont val="Calibri"/>
        <family val="2"/>
      </rPr>
      <t>(STCG)</t>
    </r>
  </si>
  <si>
    <t>In case of  Property, STCG is added to income from other sources, and a taxpayer pays tax at the rate applicable to him/her. There is NO indexation benefit available</t>
  </si>
  <si>
    <t>Purchase Price</t>
  </si>
  <si>
    <t>Total Repair Cost</t>
  </si>
  <si>
    <t>Short Term Capital Gains</t>
  </si>
  <si>
    <t>Tax @ 10% slab</t>
  </si>
  <si>
    <t>Tax @ 20% slab</t>
  </si>
  <si>
    <t>Tax @ 30% slab</t>
  </si>
  <si>
    <t>Long Term Capital Gain</t>
  </si>
  <si>
    <t>Associated cost while buying (Brokrage, Stamp Duty, etc)</t>
  </si>
  <si>
    <t>Associated Cost While Purchase</t>
  </si>
  <si>
    <t>Month &amp; Year of Purchase</t>
  </si>
  <si>
    <t>Month &amp; Year of Sale</t>
  </si>
  <si>
    <t>Month &amp; Year of above Cost</t>
  </si>
  <si>
    <t>Month &amp; Year of Repair1</t>
  </si>
  <si>
    <t>Month &amp; Year of Repair2</t>
  </si>
  <si>
    <t>Month &amp; Year of Repair3</t>
  </si>
  <si>
    <t>Capital Gains Tax Calculator for Property</t>
  </si>
  <si>
    <t>Associated Cost CII</t>
  </si>
  <si>
    <t>Fill only Orange Cells</t>
  </si>
  <si>
    <t>As your Investment Period is MORE than 2 Years your gains/losses qualify for LONG Term Capital Gains/Losses</t>
  </si>
  <si>
    <t>As you Investment Period is MORE than 2 Years your gains/losses qualify for LONG Term Capital Gains/Losses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</si>
</sst>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mmm\-yyyy"/>
    <numFmt numFmtId="165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indexed="58"/>
      <name val="Calibri"/>
      <family val="2"/>
      <scheme val="minor"/>
    </font>
    <font>
      <b/>
      <sz val="10"/>
      <color rgb="FF0033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indexed="5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47"/>
      </patternFill>
    </fill>
    <fill>
      <patternFill patternType="solid">
        <fgColor rgb="FFFFFFCC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6" tint="0.79998168889431442"/>
        <bgColor indexed="55"/>
      </patternFill>
    </fill>
    <fill>
      <patternFill patternType="solid">
        <fgColor theme="9" tint="0.79998168889431442"/>
        <bgColor indexed="55"/>
      </patternFill>
    </fill>
  </fills>
  <borders count="43">
    <border>
      <left/>
      <right/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/>
      <top style="hair">
        <color rgb="FF00B0F0"/>
      </top>
      <bottom style="hair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70C0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 style="hair">
        <color rgb="FF00B0F0"/>
      </left>
      <right/>
      <top style="hair">
        <color rgb="FF00B0F0"/>
      </top>
      <bottom style="hair">
        <color rgb="FF0070C0"/>
      </bottom>
      <diagonal/>
    </border>
    <border>
      <left/>
      <right/>
      <top style="hair">
        <color rgb="FF00B0F0"/>
      </top>
      <bottom style="hair">
        <color rgb="FF0070C0"/>
      </bottom>
      <diagonal/>
    </border>
    <border>
      <left/>
      <right style="hair">
        <color rgb="FF00B0F0"/>
      </right>
      <top style="hair">
        <color rgb="FF00B0F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2060"/>
      </left>
      <right style="hair">
        <color rgb="FF0070C0"/>
      </right>
      <top style="thin">
        <color rgb="FF002060"/>
      </top>
      <bottom style="hair">
        <color rgb="FF0070C0"/>
      </bottom>
      <diagonal/>
    </border>
    <border>
      <left style="hair">
        <color rgb="FF0070C0"/>
      </left>
      <right style="thin">
        <color rgb="FF002060"/>
      </right>
      <top style="thin">
        <color rgb="FF002060"/>
      </top>
      <bottom style="hair">
        <color rgb="FF0070C0"/>
      </bottom>
      <diagonal/>
    </border>
    <border>
      <left style="thin">
        <color rgb="FF00206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2060"/>
      </right>
      <top style="hair">
        <color rgb="FF0070C0"/>
      </top>
      <bottom style="hair">
        <color rgb="FF0070C0"/>
      </bottom>
      <diagonal/>
    </border>
    <border>
      <left style="thin">
        <color rgb="FF002060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thin">
        <color rgb="FF002060"/>
      </right>
      <top style="hair">
        <color rgb="FF0070C0"/>
      </top>
      <bottom style="medium">
        <color indexed="64"/>
      </bottom>
      <diagonal/>
    </border>
    <border>
      <left style="thin">
        <color rgb="FF002060"/>
      </left>
      <right style="hair">
        <color rgb="FF0070C0"/>
      </right>
      <top/>
      <bottom/>
      <diagonal/>
    </border>
    <border>
      <left style="hair">
        <color rgb="FF0070C0"/>
      </left>
      <right style="thin">
        <color rgb="FF002060"/>
      </right>
      <top/>
      <bottom/>
      <diagonal/>
    </border>
    <border>
      <left style="thin">
        <color rgb="FF002060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 style="thin">
        <color rgb="FF002060"/>
      </right>
      <top style="medium">
        <color indexed="64"/>
      </top>
      <bottom style="hair">
        <color rgb="FF0070C0"/>
      </bottom>
      <diagonal/>
    </border>
    <border>
      <left style="thin">
        <color rgb="FF002060"/>
      </left>
      <right style="hair">
        <color rgb="FF0070C0"/>
      </right>
      <top/>
      <bottom style="medium">
        <color indexed="64"/>
      </bottom>
      <diagonal/>
    </border>
    <border>
      <left style="hair">
        <color rgb="FF0070C0"/>
      </left>
      <right style="thin">
        <color rgb="FF002060"/>
      </right>
      <top/>
      <bottom style="hair">
        <color rgb="FF0070C0"/>
      </bottom>
      <diagonal/>
    </border>
    <border>
      <left style="thin">
        <color rgb="FF002060"/>
      </left>
      <right style="hair">
        <color rgb="FF0070C0"/>
      </right>
      <top/>
      <bottom style="thin">
        <color rgb="FF002060"/>
      </bottom>
      <diagonal/>
    </border>
    <border>
      <left style="hair">
        <color rgb="FF0070C0"/>
      </left>
      <right style="thin">
        <color rgb="FF002060"/>
      </right>
      <top style="hair">
        <color rgb="FF0070C0"/>
      </top>
      <bottom style="thin">
        <color rgb="FF002060"/>
      </bottom>
      <diagonal/>
    </border>
    <border>
      <left style="hair">
        <color rgb="FF0070C0"/>
      </left>
      <right style="hair">
        <color rgb="FF0070C0"/>
      </right>
      <top style="thin">
        <color rgb="FF002060"/>
      </top>
      <bottom style="thin">
        <color rgb="FF002060"/>
      </bottom>
      <diagonal/>
    </border>
    <border>
      <left style="hair">
        <color rgb="FF0070C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hair">
        <color rgb="FF0070C0"/>
      </right>
      <top/>
      <bottom style="hair">
        <color rgb="FF0070C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1" fillId="2" borderId="3" xfId="0" applyFont="1" applyFill="1" applyBorder="1" applyAlignment="1" applyProtection="1">
      <alignment horizontal="center" wrapText="1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 wrapText="1"/>
      <protection hidden="1"/>
    </xf>
    <xf numFmtId="0" fontId="1" fillId="3" borderId="3" xfId="0" applyFont="1" applyFill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left" wrapText="1"/>
      <protection hidden="1"/>
    </xf>
    <xf numFmtId="0" fontId="4" fillId="5" borderId="9" xfId="0" applyFont="1" applyFill="1" applyBorder="1" applyAlignment="1" applyProtection="1">
      <alignment horizontal="left" wrapText="1"/>
      <protection hidden="1"/>
    </xf>
    <xf numFmtId="0" fontId="5" fillId="0" borderId="9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wrapText="1"/>
      <protection hidden="1"/>
    </xf>
    <xf numFmtId="3" fontId="5" fillId="0" borderId="9" xfId="0" applyNumberFormat="1" applyFont="1" applyBorder="1" applyAlignment="1" applyProtection="1">
      <alignment horizontal="right" wrapText="1"/>
      <protection hidden="1"/>
    </xf>
    <xf numFmtId="0" fontId="7" fillId="5" borderId="9" xfId="0" applyFont="1" applyFill="1" applyBorder="1" applyAlignment="1" applyProtection="1">
      <alignment horizontal="right" vertical="center" wrapText="1"/>
      <protection hidden="1"/>
    </xf>
    <xf numFmtId="3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left" wrapText="1"/>
      <protection hidden="1"/>
    </xf>
    <xf numFmtId="3" fontId="7" fillId="0" borderId="11" xfId="0" applyNumberFormat="1" applyFont="1" applyBorder="1" applyAlignment="1" applyProtection="1">
      <alignment horizontal="right" wrapText="1"/>
      <protection hidden="1"/>
    </xf>
    <xf numFmtId="0" fontId="5" fillId="0" borderId="12" xfId="0" applyFont="1" applyBorder="1" applyAlignment="1" applyProtection="1">
      <alignment horizontal="left" wrapText="1"/>
      <protection hidden="1"/>
    </xf>
    <xf numFmtId="3" fontId="7" fillId="0" borderId="13" xfId="0" applyNumberFormat="1" applyFont="1" applyBorder="1" applyAlignment="1" applyProtection="1">
      <alignment horizontal="right" wrapText="1"/>
      <protection hidden="1"/>
    </xf>
    <xf numFmtId="3" fontId="4" fillId="8" borderId="13" xfId="0" applyNumberFormat="1" applyFont="1" applyFill="1" applyBorder="1" applyAlignment="1" applyProtection="1">
      <alignment horizontal="right" wrapText="1"/>
      <protection hidden="1"/>
    </xf>
    <xf numFmtId="0" fontId="5" fillId="0" borderId="14" xfId="0" applyFont="1" applyBorder="1" applyAlignment="1" applyProtection="1">
      <alignment horizontal="left" wrapText="1"/>
      <protection hidden="1"/>
    </xf>
    <xf numFmtId="3" fontId="4" fillId="8" borderId="15" xfId="0" applyNumberFormat="1" applyFont="1" applyFill="1" applyBorder="1" applyAlignment="1" applyProtection="1">
      <alignment horizontal="right" wrapText="1"/>
      <protection hidden="1"/>
    </xf>
    <xf numFmtId="0" fontId="5" fillId="0" borderId="16" xfId="0" applyFont="1" applyBorder="1" applyAlignment="1" applyProtection="1">
      <alignment horizontal="left" wrapText="1"/>
      <protection hidden="1"/>
    </xf>
    <xf numFmtId="3" fontId="4" fillId="8" borderId="17" xfId="0" applyNumberFormat="1" applyFont="1" applyFill="1" applyBorder="1" applyAlignment="1" applyProtection="1">
      <alignment horizontal="right" wrapText="1"/>
      <protection hidden="1"/>
    </xf>
    <xf numFmtId="0" fontId="5" fillId="0" borderId="18" xfId="0" applyFont="1" applyBorder="1" applyAlignment="1" applyProtection="1">
      <alignment horizontal="left" wrapText="1"/>
      <protection hidden="1"/>
    </xf>
    <xf numFmtId="3" fontId="4" fillId="8" borderId="19" xfId="0" applyNumberFormat="1" applyFont="1" applyFill="1" applyBorder="1" applyAlignment="1" applyProtection="1">
      <alignment horizontal="right" wrapText="1"/>
      <protection hidden="1"/>
    </xf>
    <xf numFmtId="0" fontId="5" fillId="0" borderId="20" xfId="0" applyFont="1" applyFill="1" applyBorder="1" applyAlignment="1" applyProtection="1">
      <alignment horizontal="left" wrapText="1"/>
      <protection hidden="1"/>
    </xf>
    <xf numFmtId="3" fontId="5" fillId="7" borderId="15" xfId="0" applyNumberFormat="1" applyFont="1" applyFill="1" applyBorder="1" applyAlignment="1" applyProtection="1">
      <alignment horizontal="right" wrapText="1"/>
      <protection hidden="1"/>
    </xf>
    <xf numFmtId="0" fontId="5" fillId="0" borderId="16" xfId="0" applyFont="1" applyFill="1" applyBorder="1" applyAlignment="1" applyProtection="1">
      <alignment horizontal="left" wrapText="1"/>
      <protection hidden="1"/>
    </xf>
    <xf numFmtId="3" fontId="5" fillId="7" borderId="21" xfId="0" applyNumberFormat="1" applyFont="1" applyFill="1" applyBorder="1" applyAlignment="1" applyProtection="1">
      <alignment horizontal="right" wrapText="1"/>
      <protection hidden="1"/>
    </xf>
    <xf numFmtId="3" fontId="5" fillId="7" borderId="13" xfId="0" applyNumberFormat="1" applyFont="1" applyFill="1" applyBorder="1" applyAlignment="1" applyProtection="1">
      <alignment horizontal="right" wrapText="1"/>
      <protection hidden="1"/>
    </xf>
    <xf numFmtId="0" fontId="5" fillId="0" borderId="12" xfId="0" applyFont="1" applyBorder="1" applyAlignment="1" applyProtection="1">
      <alignment wrapText="1"/>
      <protection hidden="1"/>
    </xf>
    <xf numFmtId="0" fontId="13" fillId="0" borderId="22" xfId="0" applyFont="1" applyFill="1" applyBorder="1" applyAlignment="1" applyProtection="1">
      <alignment horizontal="left" wrapText="1"/>
      <protection hidden="1"/>
    </xf>
    <xf numFmtId="3" fontId="13" fillId="7" borderId="23" xfId="0" applyNumberFormat="1" applyFont="1" applyFill="1" applyBorder="1" applyAlignment="1" applyProtection="1">
      <alignment horizontal="right" wrapText="1"/>
      <protection hidden="1"/>
    </xf>
    <xf numFmtId="0" fontId="13" fillId="0" borderId="12" xfId="0" applyFont="1" applyBorder="1" applyAlignment="1" applyProtection="1">
      <alignment horizontal="left" wrapText="1"/>
      <protection hidden="1"/>
    </xf>
    <xf numFmtId="0" fontId="5" fillId="0" borderId="30" xfId="0" applyFont="1" applyBorder="1" applyAlignment="1" applyProtection="1">
      <alignment horizontal="left" wrapText="1"/>
      <protection hidden="1"/>
    </xf>
    <xf numFmtId="3" fontId="4" fillId="8" borderId="21" xfId="0" applyNumberFormat="1" applyFont="1" applyFill="1" applyBorder="1" applyAlignment="1" applyProtection="1">
      <alignment horizontal="right" wrapText="1"/>
      <protection hidden="1"/>
    </xf>
    <xf numFmtId="165" fontId="14" fillId="6" borderId="9" xfId="1" applyNumberFormat="1" applyFont="1" applyFill="1" applyBorder="1" applyAlignment="1" applyProtection="1">
      <alignment horizontal="right" wrapText="1"/>
      <protection hidden="1"/>
    </xf>
    <xf numFmtId="3" fontId="5" fillId="9" borderId="13" xfId="0" applyNumberFormat="1" applyFont="1" applyFill="1" applyBorder="1" applyAlignment="1" applyProtection="1">
      <alignment horizontal="right" wrapText="1"/>
      <protection hidden="1"/>
    </xf>
    <xf numFmtId="3" fontId="4" fillId="9" borderId="13" xfId="0" applyNumberFormat="1" applyFont="1" applyFill="1" applyBorder="1" applyAlignment="1" applyProtection="1">
      <alignment horizontal="right" wrapText="1"/>
      <protection hidden="1"/>
    </xf>
    <xf numFmtId="3" fontId="13" fillId="9" borderId="13" xfId="0" applyNumberFormat="1" applyFont="1" applyFill="1" applyBorder="1" applyAlignment="1" applyProtection="1">
      <alignment horizontal="right" wrapText="1"/>
      <protection hidden="1"/>
    </xf>
    <xf numFmtId="3" fontId="13" fillId="9" borderId="23" xfId="0" applyNumberFormat="1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26" xfId="0" applyBorder="1" applyProtection="1">
      <protection hidden="1"/>
    </xf>
    <xf numFmtId="3" fontId="1" fillId="4" borderId="9" xfId="0" applyNumberFormat="1" applyFont="1" applyFill="1" applyBorder="1" applyAlignment="1" applyProtection="1">
      <alignment horizontal="right" wrapText="1"/>
      <protection locked="0"/>
    </xf>
    <xf numFmtId="164" fontId="4" fillId="4" borderId="9" xfId="0" applyNumberFormat="1" applyFont="1" applyFill="1" applyBorder="1" applyAlignment="1" applyProtection="1">
      <alignment horizontal="right" wrapText="1"/>
      <protection locked="0"/>
    </xf>
    <xf numFmtId="3" fontId="4" fillId="4" borderId="9" xfId="0" applyNumberFormat="1" applyFont="1" applyFill="1" applyBorder="1" applyAlignment="1" applyProtection="1">
      <alignment horizontal="right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3" fontId="2" fillId="5" borderId="36" xfId="0" applyNumberFormat="1" applyFont="1" applyFill="1" applyBorder="1" applyAlignment="1" applyProtection="1">
      <alignment horizontal="center" vertical="center" wrapText="1"/>
      <protection hidden="1"/>
    </xf>
    <xf numFmtId="3" fontId="2" fillId="5" borderId="37" xfId="0" applyNumberFormat="1" applyFont="1" applyFill="1" applyBorder="1" applyAlignment="1" applyProtection="1">
      <alignment horizontal="center" vertical="center" wrapText="1"/>
      <protection hidden="1"/>
    </xf>
    <xf numFmtId="3" fontId="2" fillId="5" borderId="35" xfId="0" applyNumberFormat="1" applyFont="1" applyFill="1" applyBorder="1" applyAlignment="1" applyProtection="1">
      <alignment horizontal="center" vertical="center" wrapText="1"/>
      <protection hidden="1"/>
    </xf>
    <xf numFmtId="3" fontId="2" fillId="5" borderId="38" xfId="0" applyNumberFormat="1" applyFont="1" applyFill="1" applyBorder="1" applyAlignment="1" applyProtection="1">
      <alignment horizontal="center" vertical="center" wrapText="1"/>
      <protection hidden="1"/>
    </xf>
    <xf numFmtId="3" fontId="2" fillId="5" borderId="39" xfId="0" applyNumberFormat="1" applyFont="1" applyFill="1" applyBorder="1" applyAlignment="1" applyProtection="1">
      <alignment horizontal="center" vertical="center" wrapText="1"/>
      <protection hidden="1"/>
    </xf>
    <xf numFmtId="3" fontId="2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8" fillId="6" borderId="24" xfId="0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3" fontId="1" fillId="4" borderId="41" xfId="0" applyNumberFormat="1" applyFont="1" applyFill="1" applyBorder="1" applyAlignment="1" applyProtection="1">
      <alignment horizontal="center" wrapText="1"/>
      <protection locked="0"/>
    </xf>
    <xf numFmtId="3" fontId="1" fillId="4" borderId="42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left" vertical="center" wrapText="1"/>
      <protection hidden="1"/>
    </xf>
    <xf numFmtId="3" fontId="4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</cellXfs>
  <cellStyles count="2">
    <cellStyle name="Comma" xfId="1" builtinId="3"/>
    <cellStyle name="Normal" xfId="0" builtinId="0"/>
  </cellStyles>
  <dxfs count="16"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</dxf>
    <dxf>
      <font>
        <b/>
        <i val="0"/>
        <color rgb="FFC00000"/>
      </font>
      <fill>
        <gradientFill degree="90">
          <stop position="0">
            <color theme="6" tint="0.80001220740379042"/>
          </stop>
          <stop position="1">
            <color rgb="FFFFFFCC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B7ADD-A982-43B8-8B46-E7199C7D52C0}">
  <dimension ref="A1:N37"/>
  <sheetViews>
    <sheetView showGridLines="0" zoomScaleNormal="100" workbookViewId="0">
      <pane ySplit="1" topLeftCell="A2" activePane="bottomLeft" state="frozen"/>
      <selection pane="bottomLeft" activeCell="E33" sqref="E33"/>
    </sheetView>
  </sheetViews>
  <sheetFormatPr defaultColWidth="9.109375" defaultRowHeight="14.4" x14ac:dyDescent="0.3"/>
  <cols>
    <col min="1" max="1" width="46.33203125" style="43" bestFit="1" customWidth="1"/>
    <col min="2" max="2" width="14.33203125" style="43" customWidth="1"/>
    <col min="3" max="3" width="9.109375" style="43"/>
    <col min="4" max="4" width="38.44140625" style="43" customWidth="1"/>
    <col min="5" max="5" width="14.33203125" style="43" customWidth="1"/>
    <col min="6" max="7" width="9.109375" style="43"/>
    <col min="8" max="8" width="8.109375" style="43" customWidth="1"/>
    <col min="9" max="9" width="2.109375" style="43" customWidth="1"/>
    <col min="10" max="10" width="7.109375" style="43" customWidth="1"/>
    <col min="11" max="11" width="25.44140625" style="43" customWidth="1"/>
    <col min="12" max="16384" width="9.109375" style="43"/>
  </cols>
  <sheetData>
    <row r="1" spans="1:14" ht="21" customHeight="1" x14ac:dyDescent="0.3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x14ac:dyDescent="0.3">
      <c r="A2" s="9" t="s">
        <v>4</v>
      </c>
      <c r="B2" s="47">
        <v>1800000</v>
      </c>
      <c r="C2" s="45"/>
      <c r="D2" s="69" t="s">
        <v>45</v>
      </c>
      <c r="E2" s="70"/>
      <c r="F2" s="45"/>
      <c r="G2" s="1" t="s">
        <v>0</v>
      </c>
      <c r="H2" s="64" t="s">
        <v>1</v>
      </c>
      <c r="I2" s="65"/>
      <c r="J2" s="66"/>
      <c r="K2" s="2" t="s">
        <v>2</v>
      </c>
      <c r="N2" s="44" t="s">
        <v>46</v>
      </c>
    </row>
    <row r="3" spans="1:14" x14ac:dyDescent="0.3">
      <c r="A3" s="9" t="s">
        <v>37</v>
      </c>
      <c r="B3" s="48">
        <v>37721</v>
      </c>
      <c r="C3" s="44">
        <f>MONTH(B3)</f>
        <v>4</v>
      </c>
      <c r="D3" s="44">
        <f>YEAR(B3)</f>
        <v>2003</v>
      </c>
      <c r="E3" s="44">
        <f>IF(C3&lt;=3,D3-1,D3)</f>
        <v>2003</v>
      </c>
      <c r="F3" s="44"/>
      <c r="G3" s="3">
        <v>1</v>
      </c>
      <c r="H3" s="5">
        <v>2001</v>
      </c>
      <c r="I3" s="6" t="s">
        <v>3</v>
      </c>
      <c r="J3" s="7">
        <f t="shared" ref="J3:J22" si="0">H3+1</f>
        <v>2002</v>
      </c>
      <c r="K3" s="4">
        <v>100</v>
      </c>
    </row>
    <row r="4" spans="1:14" x14ac:dyDescent="0.3">
      <c r="A4" s="10" t="s">
        <v>5</v>
      </c>
      <c r="B4" s="49">
        <v>6000000</v>
      </c>
      <c r="C4" s="44"/>
      <c r="D4" s="44"/>
      <c r="E4" s="44"/>
      <c r="F4" s="44"/>
      <c r="G4" s="3">
        <v>2</v>
      </c>
      <c r="H4" s="5">
        <v>2002</v>
      </c>
      <c r="I4" s="6" t="s">
        <v>3</v>
      </c>
      <c r="J4" s="7">
        <f t="shared" si="0"/>
        <v>2003</v>
      </c>
      <c r="K4" s="4">
        <v>105</v>
      </c>
    </row>
    <row r="5" spans="1:14" ht="15" thickBot="1" x14ac:dyDescent="0.35">
      <c r="A5" s="10" t="s">
        <v>38</v>
      </c>
      <c r="B5" s="48">
        <v>38292</v>
      </c>
      <c r="C5" s="44">
        <f>MONTH(B5)</f>
        <v>11</v>
      </c>
      <c r="D5" s="44">
        <f>YEAR(B5)</f>
        <v>2004</v>
      </c>
      <c r="E5" s="44">
        <f>IF(C5&lt;=3,D5-1,D5)</f>
        <v>2004</v>
      </c>
      <c r="F5" s="44"/>
      <c r="G5" s="3">
        <v>3</v>
      </c>
      <c r="H5" s="5">
        <v>2003</v>
      </c>
      <c r="I5" s="6" t="s">
        <v>3</v>
      </c>
      <c r="J5" s="7">
        <f t="shared" si="0"/>
        <v>2004</v>
      </c>
      <c r="K5" s="4">
        <v>109</v>
      </c>
    </row>
    <row r="6" spans="1:14" ht="15" customHeight="1" x14ac:dyDescent="0.3">
      <c r="A6" s="11" t="s">
        <v>17</v>
      </c>
      <c r="B6" s="38">
        <f>DATEDIF(B3,B5,"m")/12</f>
        <v>1.5</v>
      </c>
      <c r="C6" s="44"/>
      <c r="D6" s="58" t="e">
        <f>IF(B6&lt;3,#REF!,N2)</f>
        <v>#REF!</v>
      </c>
      <c r="E6" s="59"/>
      <c r="F6" s="44"/>
      <c r="G6" s="3">
        <v>4</v>
      </c>
      <c r="H6" s="5">
        <v>2004</v>
      </c>
      <c r="I6" s="6" t="s">
        <v>3</v>
      </c>
      <c r="J6" s="7">
        <f t="shared" si="0"/>
        <v>2005</v>
      </c>
      <c r="K6" s="4">
        <v>113</v>
      </c>
    </row>
    <row r="7" spans="1:14" x14ac:dyDescent="0.3">
      <c r="A7" s="12"/>
      <c r="B7" s="13"/>
      <c r="C7" s="44"/>
      <c r="D7" s="60"/>
      <c r="E7" s="61"/>
      <c r="F7" s="44"/>
      <c r="G7" s="3">
        <v>5</v>
      </c>
      <c r="H7" s="5">
        <v>2005</v>
      </c>
      <c r="I7" s="6" t="s">
        <v>3</v>
      </c>
      <c r="J7" s="7">
        <f t="shared" si="0"/>
        <v>2006</v>
      </c>
      <c r="K7" s="4">
        <v>117</v>
      </c>
    </row>
    <row r="8" spans="1:14" s="80" customFormat="1" ht="15.6" customHeight="1" thickBot="1" x14ac:dyDescent="0.35">
      <c r="A8" s="72" t="s">
        <v>35</v>
      </c>
      <c r="B8" s="73">
        <v>100000</v>
      </c>
      <c r="C8" s="74"/>
      <c r="D8" s="62"/>
      <c r="E8" s="63"/>
      <c r="F8" s="74"/>
      <c r="G8" s="75">
        <v>6</v>
      </c>
      <c r="H8" s="76">
        <v>2006</v>
      </c>
      <c r="I8" s="77" t="s">
        <v>3</v>
      </c>
      <c r="J8" s="78">
        <f t="shared" si="0"/>
        <v>2007</v>
      </c>
      <c r="K8" s="79">
        <v>122</v>
      </c>
    </row>
    <row r="9" spans="1:14" x14ac:dyDescent="0.3">
      <c r="A9" s="10" t="s">
        <v>39</v>
      </c>
      <c r="B9" s="48">
        <f>B3</f>
        <v>37721</v>
      </c>
      <c r="C9" s="44">
        <f>MONTH(B9)</f>
        <v>4</v>
      </c>
      <c r="D9" s="44">
        <f>YEAR(B9)</f>
        <v>2003</v>
      </c>
      <c r="E9" s="44">
        <f>IF(C9&lt;=3,D9-1,D9)</f>
        <v>2003</v>
      </c>
      <c r="F9" s="44"/>
      <c r="G9" s="3">
        <v>7</v>
      </c>
      <c r="H9" s="5">
        <v>2007</v>
      </c>
      <c r="I9" s="6" t="s">
        <v>3</v>
      </c>
      <c r="J9" s="7">
        <f t="shared" si="0"/>
        <v>2008</v>
      </c>
      <c r="K9" s="4">
        <v>129</v>
      </c>
    </row>
    <row r="10" spans="1:14" x14ac:dyDescent="0.3">
      <c r="A10" s="10" t="s">
        <v>11</v>
      </c>
      <c r="B10" s="49">
        <v>30000</v>
      </c>
      <c r="C10" s="44"/>
      <c r="D10" s="44"/>
      <c r="E10" s="44"/>
      <c r="F10" s="44"/>
      <c r="G10" s="3">
        <v>8</v>
      </c>
      <c r="H10" s="5">
        <v>2008</v>
      </c>
      <c r="I10" s="6" t="s">
        <v>3</v>
      </c>
      <c r="J10" s="7">
        <f t="shared" si="0"/>
        <v>2009</v>
      </c>
      <c r="K10" s="4">
        <v>137</v>
      </c>
    </row>
    <row r="11" spans="1:14" x14ac:dyDescent="0.3">
      <c r="A11" s="10" t="s">
        <v>40</v>
      </c>
      <c r="B11" s="48">
        <v>39508</v>
      </c>
      <c r="C11" s="44">
        <f>MONTH(B11)</f>
        <v>3</v>
      </c>
      <c r="D11" s="44">
        <f>YEAR(B11)</f>
        <v>2008</v>
      </c>
      <c r="E11" s="44">
        <f>IF(C11&lt;=3,D11-1,D11)</f>
        <v>2007</v>
      </c>
      <c r="F11" s="44"/>
      <c r="G11" s="3">
        <v>9</v>
      </c>
      <c r="H11" s="5">
        <v>2009</v>
      </c>
      <c r="I11" s="6" t="s">
        <v>3</v>
      </c>
      <c r="J11" s="7">
        <f t="shared" si="0"/>
        <v>2010</v>
      </c>
      <c r="K11" s="4">
        <v>148</v>
      </c>
    </row>
    <row r="12" spans="1:14" x14ac:dyDescent="0.3">
      <c r="A12" s="10" t="s">
        <v>12</v>
      </c>
      <c r="B12" s="49">
        <v>50000</v>
      </c>
      <c r="C12" s="44"/>
      <c r="D12" s="44"/>
      <c r="E12" s="44"/>
      <c r="F12" s="44"/>
      <c r="G12" s="3">
        <v>10</v>
      </c>
      <c r="H12" s="5">
        <v>2010</v>
      </c>
      <c r="I12" s="6" t="s">
        <v>3</v>
      </c>
      <c r="J12" s="7">
        <f t="shared" si="0"/>
        <v>2011</v>
      </c>
      <c r="K12" s="4">
        <v>167</v>
      </c>
    </row>
    <row r="13" spans="1:14" x14ac:dyDescent="0.3">
      <c r="A13" s="10" t="s">
        <v>41</v>
      </c>
      <c r="B13" s="48">
        <v>40269</v>
      </c>
      <c r="C13" s="44">
        <f>MONTH(B13)</f>
        <v>4</v>
      </c>
      <c r="D13" s="44">
        <f>YEAR(B13)</f>
        <v>2010</v>
      </c>
      <c r="E13" s="44">
        <f>IF(C13&lt;=3,D13-1,D13)</f>
        <v>2010</v>
      </c>
      <c r="F13" s="44"/>
      <c r="G13" s="3">
        <v>11</v>
      </c>
      <c r="H13" s="5">
        <v>2011</v>
      </c>
      <c r="I13" s="6" t="s">
        <v>3</v>
      </c>
      <c r="J13" s="7">
        <f t="shared" si="0"/>
        <v>2012</v>
      </c>
      <c r="K13" s="4">
        <v>184</v>
      </c>
    </row>
    <row r="14" spans="1:14" x14ac:dyDescent="0.3">
      <c r="A14" s="10" t="s">
        <v>13</v>
      </c>
      <c r="B14" s="49">
        <v>100000</v>
      </c>
      <c r="C14" s="44"/>
      <c r="D14" s="44"/>
      <c r="E14" s="44"/>
      <c r="F14" s="44"/>
      <c r="G14" s="3">
        <v>12</v>
      </c>
      <c r="H14" s="5">
        <v>2012</v>
      </c>
      <c r="I14" s="6" t="s">
        <v>3</v>
      </c>
      <c r="J14" s="7">
        <f t="shared" si="0"/>
        <v>2013</v>
      </c>
      <c r="K14" s="4">
        <v>200</v>
      </c>
    </row>
    <row r="15" spans="1:14" x14ac:dyDescent="0.3">
      <c r="A15" s="10" t="s">
        <v>42</v>
      </c>
      <c r="B15" s="48">
        <v>41061</v>
      </c>
      <c r="C15" s="44">
        <f>MONTH(B15)</f>
        <v>6</v>
      </c>
      <c r="D15" s="44">
        <f>YEAR(B15)</f>
        <v>2012</v>
      </c>
      <c r="E15" s="44">
        <f>IF(C15&lt;=3,D15-1,D15)</f>
        <v>2012</v>
      </c>
      <c r="F15" s="44"/>
      <c r="G15" s="3">
        <v>13</v>
      </c>
      <c r="H15" s="5">
        <v>2013</v>
      </c>
      <c r="I15" s="6" t="s">
        <v>3</v>
      </c>
      <c r="J15" s="7">
        <f t="shared" si="0"/>
        <v>2014</v>
      </c>
      <c r="K15" s="4">
        <v>220</v>
      </c>
    </row>
    <row r="16" spans="1:14" x14ac:dyDescent="0.3">
      <c r="C16" s="45"/>
      <c r="D16" s="45"/>
      <c r="E16" s="45"/>
      <c r="F16" s="45"/>
      <c r="G16" s="3">
        <v>14</v>
      </c>
      <c r="H16" s="5">
        <v>2014</v>
      </c>
      <c r="I16" s="6" t="s">
        <v>3</v>
      </c>
      <c r="J16" s="7">
        <f t="shared" si="0"/>
        <v>2015</v>
      </c>
      <c r="K16" s="4">
        <v>240</v>
      </c>
    </row>
    <row r="17" spans="1:11" x14ac:dyDescent="0.3">
      <c r="A17" s="14" t="s">
        <v>6</v>
      </c>
      <c r="B17" s="15" t="str">
        <f>IF(B6&lt;2,"STCG","LTCG")</f>
        <v>STCG</v>
      </c>
      <c r="G17" s="3">
        <v>15</v>
      </c>
      <c r="H17" s="5">
        <v>2015</v>
      </c>
      <c r="I17" s="6" t="s">
        <v>3</v>
      </c>
      <c r="J17" s="7">
        <f t="shared" si="0"/>
        <v>2016</v>
      </c>
      <c r="K17" s="4">
        <v>254</v>
      </c>
    </row>
    <row r="18" spans="1:11" x14ac:dyDescent="0.3">
      <c r="A18" s="45"/>
      <c r="B18" s="45"/>
      <c r="G18" s="3">
        <v>16</v>
      </c>
      <c r="H18" s="5">
        <v>2016</v>
      </c>
      <c r="I18" s="6" t="s">
        <v>3</v>
      </c>
      <c r="J18" s="7">
        <f t="shared" si="0"/>
        <v>2017</v>
      </c>
      <c r="K18" s="4">
        <v>264</v>
      </c>
    </row>
    <row r="19" spans="1:11" ht="15" customHeight="1" x14ac:dyDescent="0.3">
      <c r="A19" s="45"/>
      <c r="B19" s="45"/>
      <c r="G19" s="3">
        <v>17</v>
      </c>
      <c r="H19" s="5">
        <v>2017</v>
      </c>
      <c r="I19" s="6" t="s">
        <v>3</v>
      </c>
      <c r="J19" s="7">
        <f t="shared" si="0"/>
        <v>2018</v>
      </c>
      <c r="K19" s="4">
        <v>272</v>
      </c>
    </row>
    <row r="20" spans="1:11" ht="15" customHeight="1" x14ac:dyDescent="0.3">
      <c r="A20" s="67" t="s">
        <v>7</v>
      </c>
      <c r="B20" s="68"/>
      <c r="C20" s="46"/>
      <c r="D20" s="56" t="s">
        <v>26</v>
      </c>
      <c r="E20" s="57"/>
      <c r="G20" s="3">
        <v>18</v>
      </c>
      <c r="H20" s="5">
        <v>2018</v>
      </c>
      <c r="I20" s="6" t="s">
        <v>3</v>
      </c>
      <c r="J20" s="7">
        <f t="shared" si="0"/>
        <v>2019</v>
      </c>
      <c r="K20" s="4">
        <v>280</v>
      </c>
    </row>
    <row r="21" spans="1:11" x14ac:dyDescent="0.3">
      <c r="A21" s="16" t="s">
        <v>8</v>
      </c>
      <c r="B21" s="17" t="str">
        <f>IF(B17="LTCG",VLOOKUP(E3,H:K,4,FALSE),"-NIL-")</f>
        <v>-NIL-</v>
      </c>
      <c r="D21" s="50" t="s">
        <v>27</v>
      </c>
      <c r="E21" s="51"/>
      <c r="G21" s="3">
        <v>19</v>
      </c>
      <c r="H21" s="5">
        <v>2019</v>
      </c>
      <c r="I21" s="6" t="s">
        <v>3</v>
      </c>
      <c r="J21" s="7">
        <f t="shared" si="0"/>
        <v>2020</v>
      </c>
      <c r="K21" s="8"/>
    </row>
    <row r="22" spans="1:11" x14ac:dyDescent="0.3">
      <c r="A22" s="18" t="s">
        <v>9</v>
      </c>
      <c r="B22" s="19" t="str">
        <f>IF(B17="LTCG",VLOOKUP(E5,H:K,4,FALSE),"-NIL-")</f>
        <v>-NIL-</v>
      </c>
      <c r="D22" s="52"/>
      <c r="E22" s="53"/>
      <c r="G22" s="3">
        <v>20</v>
      </c>
      <c r="H22" s="5">
        <v>2020</v>
      </c>
      <c r="I22" s="6" t="s">
        <v>3</v>
      </c>
      <c r="J22" s="7">
        <f t="shared" si="0"/>
        <v>2021</v>
      </c>
      <c r="K22" s="8"/>
    </row>
    <row r="23" spans="1:11" x14ac:dyDescent="0.3">
      <c r="A23" s="18" t="s">
        <v>44</v>
      </c>
      <c r="B23" s="20" t="str">
        <f>IF(AND($B$17="LTCG", B9&gt;=$B$3),VLOOKUP(E9,H:K,4,FALSE),"-NIL-")</f>
        <v>-NIL-</v>
      </c>
      <c r="D23" s="52"/>
      <c r="E23" s="53"/>
    </row>
    <row r="24" spans="1:11" x14ac:dyDescent="0.3">
      <c r="A24" s="18" t="s">
        <v>14</v>
      </c>
      <c r="B24" s="20" t="str">
        <f>IF(AND($B$17="LTCG", B11&gt;=$B$3),VLOOKUP(E11,H:K,4,FALSE),"-NIL-")</f>
        <v>-NIL-</v>
      </c>
      <c r="D24" s="52"/>
      <c r="E24" s="53"/>
    </row>
    <row r="25" spans="1:11" ht="15" customHeight="1" x14ac:dyDescent="0.3">
      <c r="A25" s="18" t="s">
        <v>15</v>
      </c>
      <c r="B25" s="20" t="str">
        <f>IF(AND($B$17="LTCG", B13&gt;=$B$3),VLOOKUP(E13,H:K,4,FALSE),"-NIL-")</f>
        <v>-NIL-</v>
      </c>
      <c r="D25" s="52"/>
      <c r="E25" s="53"/>
    </row>
    <row r="26" spans="1:11" ht="15" customHeight="1" thickBot="1" x14ac:dyDescent="0.35">
      <c r="A26" s="21" t="s">
        <v>16</v>
      </c>
      <c r="B26" s="22" t="str">
        <f>IF(AND($B$17="LTCG", B15&gt;=$B$3),VLOOKUP(E15,H:K,4,FALSE),"-NIL-")</f>
        <v>-NIL-</v>
      </c>
      <c r="D26" s="54"/>
      <c r="E26" s="55"/>
    </row>
    <row r="27" spans="1:11" x14ac:dyDescent="0.3">
      <c r="A27" s="23" t="s">
        <v>10</v>
      </c>
      <c r="B27" s="24" t="str">
        <f>IF(B17="LTCG",(B22/B21)*B2,"-NA-")</f>
        <v>-NA-</v>
      </c>
      <c r="D27" s="36" t="s">
        <v>28</v>
      </c>
      <c r="E27" s="37">
        <f>IF(B17="STCG",B2,"NA")</f>
        <v>1800000</v>
      </c>
    </row>
    <row r="28" spans="1:11" ht="15" thickBot="1" x14ac:dyDescent="0.35">
      <c r="A28" s="23" t="s">
        <v>36</v>
      </c>
      <c r="B28" s="24" t="str">
        <f>IF(AND($B$17="LTCG", B9&gt;=$B$3),($B$22/B23)*B8,"-NA-")</f>
        <v>-NA-</v>
      </c>
      <c r="D28" s="23" t="s">
        <v>36</v>
      </c>
      <c r="E28" s="37">
        <f>IF(B17="STCG",B8,"NA")</f>
        <v>100000</v>
      </c>
    </row>
    <row r="29" spans="1:11" x14ac:dyDescent="0.3">
      <c r="A29" s="25" t="s">
        <v>18</v>
      </c>
      <c r="B29" s="26" t="str">
        <f>IF(AND($B$17="LTCG", B11&gt;=$B$3),($B$22/B24)*B10,"-NA-")</f>
        <v>-NA-</v>
      </c>
      <c r="D29" s="18" t="s">
        <v>29</v>
      </c>
      <c r="E29" s="31">
        <f>IF(B17="STCG",SUM(B10,B12,B14),"NA")</f>
        <v>180000</v>
      </c>
    </row>
    <row r="30" spans="1:11" x14ac:dyDescent="0.3">
      <c r="A30" s="18" t="s">
        <v>19</v>
      </c>
      <c r="B30" s="20" t="str">
        <f>IF(AND($B$17="LTCG", B13&gt;=$B$3),($B$22/B25)*B12,"-NA-")</f>
        <v>-NA-</v>
      </c>
      <c r="D30" s="18" t="s">
        <v>5</v>
      </c>
      <c r="E30" s="20">
        <f>IF(B17="STCG",B4,"NA")</f>
        <v>6000000</v>
      </c>
    </row>
    <row r="31" spans="1:11" x14ac:dyDescent="0.3">
      <c r="A31" s="18" t="s">
        <v>20</v>
      </c>
      <c r="B31" s="20" t="str">
        <f>IF(AND($B$17="LTCG", B15&gt;=$B$3),($B$22/B26)*B14,"-NA-")</f>
        <v>-NA-</v>
      </c>
      <c r="D31" s="18" t="s">
        <v>30</v>
      </c>
      <c r="E31" s="40">
        <f>IF(B17="STCG",SUM(E30,-E29,-E27,-E28),"NA")</f>
        <v>3920000</v>
      </c>
    </row>
    <row r="32" spans="1:11" ht="15" thickBot="1" x14ac:dyDescent="0.35">
      <c r="A32" s="27" t="s">
        <v>21</v>
      </c>
      <c r="B32" s="28">
        <f>SUM(B29:B31)</f>
        <v>0</v>
      </c>
      <c r="D32" s="35" t="s">
        <v>31</v>
      </c>
      <c r="E32" s="41">
        <f>IF($B$17="STCG",MAX($E$31*10.3%,0),"NA")</f>
        <v>403760.00000000006</v>
      </c>
    </row>
    <row r="33" spans="1:5" x14ac:dyDescent="0.3">
      <c r="A33" s="29" t="s">
        <v>22</v>
      </c>
      <c r="B33" s="30">
        <f>SUM(B27,B32,B28)</f>
        <v>0</v>
      </c>
      <c r="D33" s="35" t="s">
        <v>32</v>
      </c>
      <c r="E33" s="41">
        <f>IF($B$17="STCG",MAX($E$31*20.6%,0),"NA")</f>
        <v>807520.00000000012</v>
      </c>
    </row>
    <row r="34" spans="1:5" x14ac:dyDescent="0.3">
      <c r="A34" s="18" t="s">
        <v>34</v>
      </c>
      <c r="B34" s="39" t="str">
        <f>IF(B17="LTCG",SUM(B4,-B33),"NA")</f>
        <v>NA</v>
      </c>
      <c r="D34" s="33" t="s">
        <v>33</v>
      </c>
      <c r="E34" s="42">
        <f>IF($B$17="STCG",MAX($E$31*30.9%,0),"NA")</f>
        <v>1211280</v>
      </c>
    </row>
    <row r="35" spans="1:5" x14ac:dyDescent="0.3">
      <c r="A35" s="32" t="s">
        <v>23</v>
      </c>
      <c r="B35" s="39" t="str">
        <f>IF(B17="LTCG",MAX(B34*20%,0),"NA")</f>
        <v>NA</v>
      </c>
    </row>
    <row r="36" spans="1:5" x14ac:dyDescent="0.3">
      <c r="A36" s="32" t="s">
        <v>24</v>
      </c>
      <c r="B36" s="39" t="str">
        <f>IF(B17="LTCG",3%*B35,"NA")</f>
        <v>NA</v>
      </c>
    </row>
    <row r="37" spans="1:5" x14ac:dyDescent="0.3">
      <c r="A37" s="33" t="s">
        <v>25</v>
      </c>
      <c r="B37" s="34" t="str">
        <f>IF(B17="LTCG",SUM(B35:B36),"NA")</f>
        <v>NA</v>
      </c>
    </row>
  </sheetData>
  <protectedRanges>
    <protectedRange sqref="K13:K22" name="Range1"/>
    <protectedRange sqref="B2 B4 B8 B10 B12 B14" name="Range1_2"/>
  </protectedRanges>
  <mergeCells count="7">
    <mergeCell ref="D21:E26"/>
    <mergeCell ref="A1:K1"/>
    <mergeCell ref="D2:E2"/>
    <mergeCell ref="H2:J2"/>
    <mergeCell ref="D6:E8"/>
    <mergeCell ref="A20:B20"/>
    <mergeCell ref="D20:E20"/>
  </mergeCells>
  <conditionalFormatting sqref="E20 B2:B15 E27 E29:E34 B17 B20:B37">
    <cfRule type="containsText" dxfId="7" priority="7" stopIfTrue="1" operator="containsText" text="NO TAX ON">
      <formula>NOT(ISERROR(SEARCH("NO TAX ON",B2)))</formula>
    </cfRule>
  </conditionalFormatting>
  <conditionalFormatting sqref="B3 B5 B9 B11 B13 B15">
    <cfRule type="cellIs" dxfId="6" priority="8" stopIfTrue="1" operator="lessThan">
      <formula>#REF!</formula>
    </cfRule>
  </conditionalFormatting>
  <conditionalFormatting sqref="E28">
    <cfRule type="containsText" dxfId="5" priority="6" stopIfTrue="1" operator="containsText" text="NO TAX ON">
      <formula>NOT(ISERROR(SEARCH("NO TAX ON",E28)))</formula>
    </cfRule>
  </conditionalFormatting>
  <conditionalFormatting sqref="E28">
    <cfRule type="containsText" dxfId="4" priority="5" stopIfTrue="1" operator="containsText" text="NO TAX ON">
      <formula>NOT(ISERROR(SEARCH("NO TAX ON",E28)))</formula>
    </cfRule>
  </conditionalFormatting>
  <conditionalFormatting sqref="D6">
    <cfRule type="containsText" dxfId="3" priority="4" stopIfTrue="1" operator="containsText" text="NO TAX ON">
      <formula>NOT(ISERROR(SEARCH("NO TAX ON",D6)))</formula>
    </cfRule>
  </conditionalFormatting>
  <conditionalFormatting sqref="D2">
    <cfRule type="containsText" dxfId="2" priority="3" stopIfTrue="1" operator="containsText" text="NO TAX ON">
      <formula>NOT(ISERROR(SEARCH("NO TAX ON",D2)))</formula>
    </cfRule>
  </conditionalFormatting>
  <conditionalFormatting sqref="D2">
    <cfRule type="cellIs" dxfId="1" priority="2" stopIfTrue="1" operator="lessThan">
      <formula>#REF!</formula>
    </cfRule>
  </conditionalFormatting>
  <conditionalFormatting sqref="D2:E2">
    <cfRule type="containsText" dxfId="0" priority="1" stopIfTrue="1" operator="containsText" text="NO TAX ON">
      <formula>NOT(ISERROR(SEARCH("NO TAX ON",D2)))</formula>
    </cfRule>
  </conditionalFormatting>
  <pageMargins left="0.7" right="0.7" top="0.75" bottom="0.75" header="0.3" footer="0.3"/>
  <pageSetup paperSize="9" scale="60" orientation="portrait" r:id="rId1"/>
  <headerFooter>
    <oddFooter>&amp;L1/23/2017&amp;CAXP Internal&amp;R1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zoomScaleNormal="100" workbookViewId="0">
      <pane ySplit="1" topLeftCell="A22" activePane="bottomLeft" state="frozen"/>
      <selection pane="bottomLeft" activeCell="D9" sqref="D9"/>
    </sheetView>
  </sheetViews>
  <sheetFormatPr defaultColWidth="9.109375" defaultRowHeight="14.4" x14ac:dyDescent="0.3"/>
  <cols>
    <col min="1" max="1" width="46.33203125" style="43" bestFit="1" customWidth="1"/>
    <col min="2" max="2" width="14.33203125" style="43" customWidth="1"/>
    <col min="3" max="3" width="9.109375" style="43"/>
    <col min="4" max="4" width="38.44140625" style="43" customWidth="1"/>
    <col min="5" max="5" width="14.33203125" style="43" customWidth="1"/>
    <col min="6" max="7" width="9.109375" style="43"/>
    <col min="8" max="8" width="8.109375" style="43" customWidth="1"/>
    <col min="9" max="9" width="2.109375" style="43" customWidth="1"/>
    <col min="10" max="10" width="7.109375" style="43" customWidth="1"/>
    <col min="11" max="11" width="25.44140625" style="43" customWidth="1"/>
    <col min="12" max="13" width="9.109375" style="43"/>
    <col min="14" max="14" width="9" style="43" customWidth="1"/>
    <col min="15" max="16384" width="9.109375" style="43"/>
  </cols>
  <sheetData>
    <row r="1" spans="1:14" ht="21" customHeight="1" x14ac:dyDescent="0.3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x14ac:dyDescent="0.3">
      <c r="A2" s="9" t="s">
        <v>4</v>
      </c>
      <c r="B2" s="47">
        <v>1800000</v>
      </c>
      <c r="C2" s="45"/>
      <c r="D2" s="69" t="s">
        <v>45</v>
      </c>
      <c r="E2" s="70"/>
      <c r="F2" s="45"/>
      <c r="G2" s="1" t="s">
        <v>0</v>
      </c>
      <c r="H2" s="64" t="s">
        <v>1</v>
      </c>
      <c r="I2" s="65"/>
      <c r="J2" s="66"/>
      <c r="K2" s="2" t="s">
        <v>2</v>
      </c>
      <c r="N2" s="44" t="s">
        <v>47</v>
      </c>
    </row>
    <row r="3" spans="1:14" x14ac:dyDescent="0.3">
      <c r="A3" s="9" t="s">
        <v>37</v>
      </c>
      <c r="B3" s="48">
        <v>37721</v>
      </c>
      <c r="C3" s="44">
        <f>MONTH(B3)</f>
        <v>4</v>
      </c>
      <c r="D3" s="44">
        <f>YEAR(B3)</f>
        <v>2003</v>
      </c>
      <c r="E3" s="44">
        <f>IF(C3&lt;=3,D3-1,D3)</f>
        <v>2003</v>
      </c>
      <c r="F3" s="44"/>
      <c r="G3" s="3">
        <v>1</v>
      </c>
      <c r="H3" s="5">
        <v>2001</v>
      </c>
      <c r="I3" s="6" t="s">
        <v>3</v>
      </c>
      <c r="J3" s="7">
        <f t="shared" ref="J3:J22" si="0">H3+1</f>
        <v>2002</v>
      </c>
      <c r="K3" s="4">
        <v>100</v>
      </c>
    </row>
    <row r="4" spans="1:14" x14ac:dyDescent="0.3">
      <c r="A4" s="10" t="s">
        <v>5</v>
      </c>
      <c r="B4" s="49">
        <v>6000000</v>
      </c>
      <c r="C4" s="44"/>
      <c r="D4" s="44"/>
      <c r="E4" s="44"/>
      <c r="F4" s="44"/>
      <c r="G4" s="3">
        <v>2</v>
      </c>
      <c r="H4" s="5">
        <v>2002</v>
      </c>
      <c r="I4" s="6" t="s">
        <v>3</v>
      </c>
      <c r="J4" s="7">
        <f t="shared" si="0"/>
        <v>2003</v>
      </c>
      <c r="K4" s="4">
        <v>105</v>
      </c>
    </row>
    <row r="5" spans="1:14" ht="15" thickBot="1" x14ac:dyDescent="0.35">
      <c r="A5" s="10" t="s">
        <v>38</v>
      </c>
      <c r="B5" s="48">
        <v>43040</v>
      </c>
      <c r="C5" s="44">
        <f>MONTH(B5)</f>
        <v>11</v>
      </c>
      <c r="D5" s="44">
        <f>YEAR(B5)</f>
        <v>2017</v>
      </c>
      <c r="E5" s="44">
        <f>IF(C5&lt;=3,D5-1,D5)</f>
        <v>2017</v>
      </c>
      <c r="F5" s="44"/>
      <c r="G5" s="3">
        <v>3</v>
      </c>
      <c r="H5" s="5">
        <v>2003</v>
      </c>
      <c r="I5" s="6" t="s">
        <v>3</v>
      </c>
      <c r="J5" s="7">
        <f t="shared" si="0"/>
        <v>2004</v>
      </c>
      <c r="K5" s="4">
        <v>109</v>
      </c>
    </row>
    <row r="6" spans="1:14" ht="15" customHeight="1" x14ac:dyDescent="0.3">
      <c r="A6" s="11" t="s">
        <v>17</v>
      </c>
      <c r="B6" s="38">
        <f>DATEDIF(B3,B5,"m")/12</f>
        <v>14.5</v>
      </c>
      <c r="C6" s="44"/>
      <c r="D6" s="58" t="str">
        <f>IF(B6&lt;3,#REF!,N2)</f>
        <v>As you Investment Period is MORE than 2 Years your gains/losses qualify for LONG Term Capital Gains/Losses</v>
      </c>
      <c r="E6" s="59"/>
      <c r="F6" s="44"/>
      <c r="G6" s="3">
        <v>4</v>
      </c>
      <c r="H6" s="5">
        <v>2004</v>
      </c>
      <c r="I6" s="6" t="s">
        <v>3</v>
      </c>
      <c r="J6" s="7">
        <f t="shared" si="0"/>
        <v>2005</v>
      </c>
      <c r="K6" s="4">
        <v>113</v>
      </c>
    </row>
    <row r="7" spans="1:14" x14ac:dyDescent="0.3">
      <c r="A7" s="12"/>
      <c r="B7" s="13"/>
      <c r="C7" s="44"/>
      <c r="D7" s="60"/>
      <c r="E7" s="61"/>
      <c r="F7" s="44"/>
      <c r="G7" s="3">
        <v>5</v>
      </c>
      <c r="H7" s="5">
        <v>2005</v>
      </c>
      <c r="I7" s="6" t="s">
        <v>3</v>
      </c>
      <c r="J7" s="7">
        <f t="shared" si="0"/>
        <v>2006</v>
      </c>
      <c r="K7" s="4">
        <v>117</v>
      </c>
    </row>
    <row r="8" spans="1:14" s="80" customFormat="1" ht="15.6" customHeight="1" thickBot="1" x14ac:dyDescent="0.35">
      <c r="A8" s="72" t="s">
        <v>35</v>
      </c>
      <c r="B8" s="73">
        <v>100000</v>
      </c>
      <c r="C8" s="74"/>
      <c r="D8" s="62"/>
      <c r="E8" s="63"/>
      <c r="F8" s="74"/>
      <c r="G8" s="75">
        <v>6</v>
      </c>
      <c r="H8" s="76">
        <v>2006</v>
      </c>
      <c r="I8" s="77" t="s">
        <v>3</v>
      </c>
      <c r="J8" s="78">
        <f t="shared" si="0"/>
        <v>2007</v>
      </c>
      <c r="K8" s="79">
        <v>122</v>
      </c>
    </row>
    <row r="9" spans="1:14" x14ac:dyDescent="0.3">
      <c r="A9" s="10" t="s">
        <v>39</v>
      </c>
      <c r="B9" s="48">
        <f>B3</f>
        <v>37721</v>
      </c>
      <c r="C9" s="44">
        <f>MONTH(B9)</f>
        <v>4</v>
      </c>
      <c r="D9" s="44">
        <f>YEAR(B9)</f>
        <v>2003</v>
      </c>
      <c r="E9" s="44">
        <f>IF(C9&lt;=3,D9-1,D9)</f>
        <v>2003</v>
      </c>
      <c r="F9" s="44"/>
      <c r="G9" s="3">
        <v>7</v>
      </c>
      <c r="H9" s="5">
        <v>2007</v>
      </c>
      <c r="I9" s="6" t="s">
        <v>3</v>
      </c>
      <c r="J9" s="7">
        <f t="shared" si="0"/>
        <v>2008</v>
      </c>
      <c r="K9" s="4">
        <v>129</v>
      </c>
    </row>
    <row r="10" spans="1:14" x14ac:dyDescent="0.3">
      <c r="A10" s="10" t="s">
        <v>11</v>
      </c>
      <c r="B10" s="49">
        <v>30000</v>
      </c>
      <c r="C10" s="44"/>
      <c r="D10" s="44"/>
      <c r="E10" s="44"/>
      <c r="F10" s="44"/>
      <c r="G10" s="3">
        <v>8</v>
      </c>
      <c r="H10" s="5">
        <v>2008</v>
      </c>
      <c r="I10" s="6" t="s">
        <v>3</v>
      </c>
      <c r="J10" s="7">
        <f t="shared" si="0"/>
        <v>2009</v>
      </c>
      <c r="K10" s="4">
        <v>137</v>
      </c>
    </row>
    <row r="11" spans="1:14" x14ac:dyDescent="0.3">
      <c r="A11" s="10" t="s">
        <v>40</v>
      </c>
      <c r="B11" s="48">
        <v>39508</v>
      </c>
      <c r="C11" s="44">
        <f>MONTH(B11)</f>
        <v>3</v>
      </c>
      <c r="D11" s="44">
        <f>YEAR(B11)</f>
        <v>2008</v>
      </c>
      <c r="E11" s="44">
        <f>IF(C11&lt;=3,D11-1,D11)</f>
        <v>2007</v>
      </c>
      <c r="F11" s="44"/>
      <c r="G11" s="3">
        <v>9</v>
      </c>
      <c r="H11" s="5">
        <v>2009</v>
      </c>
      <c r="I11" s="6" t="s">
        <v>3</v>
      </c>
      <c r="J11" s="7">
        <f t="shared" si="0"/>
        <v>2010</v>
      </c>
      <c r="K11" s="4">
        <v>148</v>
      </c>
    </row>
    <row r="12" spans="1:14" x14ac:dyDescent="0.3">
      <c r="A12" s="10" t="s">
        <v>12</v>
      </c>
      <c r="B12" s="49">
        <v>50000</v>
      </c>
      <c r="C12" s="44"/>
      <c r="D12" s="44"/>
      <c r="E12" s="44"/>
      <c r="F12" s="44"/>
      <c r="G12" s="3">
        <v>10</v>
      </c>
      <c r="H12" s="5">
        <v>2010</v>
      </c>
      <c r="I12" s="6" t="s">
        <v>3</v>
      </c>
      <c r="J12" s="7">
        <f t="shared" si="0"/>
        <v>2011</v>
      </c>
      <c r="K12" s="4">
        <v>167</v>
      </c>
    </row>
    <row r="13" spans="1:14" x14ac:dyDescent="0.3">
      <c r="A13" s="10" t="s">
        <v>41</v>
      </c>
      <c r="B13" s="48">
        <v>40269</v>
      </c>
      <c r="C13" s="44">
        <f>MONTH(B13)</f>
        <v>4</v>
      </c>
      <c r="D13" s="44">
        <f>YEAR(B13)</f>
        <v>2010</v>
      </c>
      <c r="E13" s="44">
        <f>IF(C13&lt;=3,D13-1,D13)</f>
        <v>2010</v>
      </c>
      <c r="F13" s="44"/>
      <c r="G13" s="3">
        <v>11</v>
      </c>
      <c r="H13" s="5">
        <v>2011</v>
      </c>
      <c r="I13" s="6" t="s">
        <v>3</v>
      </c>
      <c r="J13" s="7">
        <f t="shared" si="0"/>
        <v>2012</v>
      </c>
      <c r="K13" s="4">
        <v>184</v>
      </c>
    </row>
    <row r="14" spans="1:14" x14ac:dyDescent="0.3">
      <c r="A14" s="10" t="s">
        <v>13</v>
      </c>
      <c r="B14" s="49">
        <v>100000</v>
      </c>
      <c r="C14" s="44"/>
      <c r="D14" s="44"/>
      <c r="E14" s="44"/>
      <c r="F14" s="44"/>
      <c r="G14" s="3">
        <v>12</v>
      </c>
      <c r="H14" s="5">
        <v>2012</v>
      </c>
      <c r="I14" s="6" t="s">
        <v>3</v>
      </c>
      <c r="J14" s="7">
        <f t="shared" si="0"/>
        <v>2013</v>
      </c>
      <c r="K14" s="4">
        <v>200</v>
      </c>
    </row>
    <row r="15" spans="1:14" x14ac:dyDescent="0.3">
      <c r="A15" s="10" t="s">
        <v>42</v>
      </c>
      <c r="B15" s="48">
        <v>41061</v>
      </c>
      <c r="C15" s="44">
        <f>MONTH(B15)</f>
        <v>6</v>
      </c>
      <c r="D15" s="44">
        <f>YEAR(B15)</f>
        <v>2012</v>
      </c>
      <c r="E15" s="44">
        <f>IF(C15&lt;=3,D15-1,D15)</f>
        <v>2012</v>
      </c>
      <c r="F15" s="44"/>
      <c r="G15" s="3">
        <v>13</v>
      </c>
      <c r="H15" s="5">
        <v>2013</v>
      </c>
      <c r="I15" s="6" t="s">
        <v>3</v>
      </c>
      <c r="J15" s="7">
        <f t="shared" si="0"/>
        <v>2014</v>
      </c>
      <c r="K15" s="4">
        <v>220</v>
      </c>
    </row>
    <row r="16" spans="1:14" x14ac:dyDescent="0.3">
      <c r="C16" s="45"/>
      <c r="D16" s="45"/>
      <c r="E16" s="45"/>
      <c r="F16" s="45"/>
      <c r="G16" s="3">
        <v>14</v>
      </c>
      <c r="H16" s="5">
        <v>2014</v>
      </c>
      <c r="I16" s="6" t="s">
        <v>3</v>
      </c>
      <c r="J16" s="7">
        <f t="shared" si="0"/>
        <v>2015</v>
      </c>
      <c r="K16" s="4">
        <v>240</v>
      </c>
    </row>
    <row r="17" spans="1:11" x14ac:dyDescent="0.3">
      <c r="A17" s="14" t="s">
        <v>6</v>
      </c>
      <c r="B17" s="15" t="str">
        <f>IF(B6&lt;2,"STCG","LTCG")</f>
        <v>LTCG</v>
      </c>
      <c r="G17" s="3">
        <v>15</v>
      </c>
      <c r="H17" s="5">
        <v>2015</v>
      </c>
      <c r="I17" s="6" t="s">
        <v>3</v>
      </c>
      <c r="J17" s="7">
        <f t="shared" si="0"/>
        <v>2016</v>
      </c>
      <c r="K17" s="4">
        <v>254</v>
      </c>
    </row>
    <row r="18" spans="1:11" x14ac:dyDescent="0.3">
      <c r="A18" s="45"/>
      <c r="B18" s="45"/>
      <c r="G18" s="3">
        <v>16</v>
      </c>
      <c r="H18" s="5">
        <v>2016</v>
      </c>
      <c r="I18" s="6" t="s">
        <v>3</v>
      </c>
      <c r="J18" s="7">
        <f t="shared" si="0"/>
        <v>2017</v>
      </c>
      <c r="K18" s="4">
        <v>264</v>
      </c>
    </row>
    <row r="19" spans="1:11" ht="15" customHeight="1" x14ac:dyDescent="0.3">
      <c r="A19" s="45"/>
      <c r="B19" s="45"/>
      <c r="G19" s="3">
        <v>17</v>
      </c>
      <c r="H19" s="5">
        <v>2017</v>
      </c>
      <c r="I19" s="6" t="s">
        <v>3</v>
      </c>
      <c r="J19" s="7">
        <f t="shared" si="0"/>
        <v>2018</v>
      </c>
      <c r="K19" s="4">
        <v>272</v>
      </c>
    </row>
    <row r="20" spans="1:11" ht="15" customHeight="1" x14ac:dyDescent="0.3">
      <c r="A20" s="67" t="s">
        <v>7</v>
      </c>
      <c r="B20" s="68"/>
      <c r="C20" s="46"/>
      <c r="D20" s="56" t="s">
        <v>26</v>
      </c>
      <c r="E20" s="57"/>
      <c r="G20" s="3">
        <v>18</v>
      </c>
      <c r="H20" s="5">
        <v>2018</v>
      </c>
      <c r="I20" s="6" t="s">
        <v>3</v>
      </c>
      <c r="J20" s="7">
        <f t="shared" si="0"/>
        <v>2019</v>
      </c>
      <c r="K20" s="4">
        <v>280</v>
      </c>
    </row>
    <row r="21" spans="1:11" x14ac:dyDescent="0.3">
      <c r="A21" s="16" t="s">
        <v>8</v>
      </c>
      <c r="B21" s="17">
        <f>IF(B17="LTCG",VLOOKUP(E3,H:K,4,FALSE),"-NIL-")</f>
        <v>109</v>
      </c>
      <c r="D21" s="50" t="s">
        <v>27</v>
      </c>
      <c r="E21" s="51"/>
      <c r="G21" s="3">
        <v>19</v>
      </c>
      <c r="H21" s="5">
        <v>2019</v>
      </c>
      <c r="I21" s="6" t="s">
        <v>3</v>
      </c>
      <c r="J21" s="7">
        <f t="shared" si="0"/>
        <v>2020</v>
      </c>
      <c r="K21" s="8"/>
    </row>
    <row r="22" spans="1:11" x14ac:dyDescent="0.3">
      <c r="A22" s="18" t="s">
        <v>9</v>
      </c>
      <c r="B22" s="19">
        <f>IF(B17="LTCG",VLOOKUP(E5,H:K,4,FALSE),"-NIL-")</f>
        <v>272</v>
      </c>
      <c r="D22" s="52"/>
      <c r="E22" s="53"/>
      <c r="G22" s="3">
        <v>20</v>
      </c>
      <c r="H22" s="5">
        <v>2020</v>
      </c>
      <c r="I22" s="6" t="s">
        <v>3</v>
      </c>
      <c r="J22" s="7">
        <f t="shared" si="0"/>
        <v>2021</v>
      </c>
      <c r="K22" s="8"/>
    </row>
    <row r="23" spans="1:11" x14ac:dyDescent="0.3">
      <c r="A23" s="18" t="s">
        <v>44</v>
      </c>
      <c r="B23" s="20">
        <f>IF(AND($B$17="LTCG", B9&gt;=$B$3),VLOOKUP(E9,H:K,4,FALSE),"-NIL-")</f>
        <v>109</v>
      </c>
      <c r="D23" s="52"/>
      <c r="E23" s="53"/>
    </row>
    <row r="24" spans="1:11" x14ac:dyDescent="0.3">
      <c r="A24" s="18" t="s">
        <v>14</v>
      </c>
      <c r="B24" s="20">
        <f>IF(AND($B$17="LTCG", B11&gt;=$B$3),VLOOKUP(E11,H:K,4,FALSE),"-NIL-")</f>
        <v>129</v>
      </c>
      <c r="D24" s="52"/>
      <c r="E24" s="53"/>
    </row>
    <row r="25" spans="1:11" ht="15" customHeight="1" x14ac:dyDescent="0.3">
      <c r="A25" s="18" t="s">
        <v>15</v>
      </c>
      <c r="B25" s="20">
        <f>IF(AND($B$17="LTCG", B13&gt;=$B$3),VLOOKUP(E13,H:K,4,FALSE),"-NIL-")</f>
        <v>167</v>
      </c>
      <c r="D25" s="52"/>
      <c r="E25" s="53"/>
    </row>
    <row r="26" spans="1:11" ht="15" customHeight="1" thickBot="1" x14ac:dyDescent="0.35">
      <c r="A26" s="21" t="s">
        <v>16</v>
      </c>
      <c r="B26" s="22">
        <f>IF(AND($B$17="LTCG", B15&gt;=$B$3),VLOOKUP(E15,H:K,4,FALSE),"-NIL-")</f>
        <v>200</v>
      </c>
      <c r="D26" s="54"/>
      <c r="E26" s="55"/>
    </row>
    <row r="27" spans="1:11" x14ac:dyDescent="0.3">
      <c r="A27" s="23" t="s">
        <v>10</v>
      </c>
      <c r="B27" s="24">
        <f>IF(B17="LTCG",(B22/B21)*B2,"-NA-")</f>
        <v>4491743.1192660555</v>
      </c>
      <c r="D27" s="36" t="s">
        <v>28</v>
      </c>
      <c r="E27" s="37" t="str">
        <f>IF(B17="STCG",B2,"NA")</f>
        <v>NA</v>
      </c>
    </row>
    <row r="28" spans="1:11" ht="15" thickBot="1" x14ac:dyDescent="0.35">
      <c r="A28" s="23" t="s">
        <v>36</v>
      </c>
      <c r="B28" s="24">
        <f>IF(AND($B$17="LTCG", B9&gt;=$B$3),($B$22/B23)*B8,"-NA-")</f>
        <v>249541.28440366974</v>
      </c>
      <c r="D28" s="23" t="s">
        <v>36</v>
      </c>
      <c r="E28" s="37" t="str">
        <f>IF(B17="STCG",B8,"NA")</f>
        <v>NA</v>
      </c>
    </row>
    <row r="29" spans="1:11" x14ac:dyDescent="0.3">
      <c r="A29" s="25" t="s">
        <v>18</v>
      </c>
      <c r="B29" s="26">
        <f>IF(AND($B$17="LTCG", B11&gt;=$B$3),($B$22/B24)*B10,"-NA-")</f>
        <v>63255.813953488381</v>
      </c>
      <c r="D29" s="18" t="s">
        <v>29</v>
      </c>
      <c r="E29" s="31" t="str">
        <f>IF(B17="STCG",SUM(B10,B12,B14),"NA")</f>
        <v>NA</v>
      </c>
    </row>
    <row r="30" spans="1:11" x14ac:dyDescent="0.3">
      <c r="A30" s="18" t="s">
        <v>19</v>
      </c>
      <c r="B30" s="20">
        <f>IF(AND($B$17="LTCG", B13&gt;=$B$3),($B$22/B25)*B12,"-NA-")</f>
        <v>81437.125748502993</v>
      </c>
      <c r="D30" s="18" t="s">
        <v>5</v>
      </c>
      <c r="E30" s="20" t="str">
        <f>IF(B17="STCG",B4,"NA")</f>
        <v>NA</v>
      </c>
    </row>
    <row r="31" spans="1:11" x14ac:dyDescent="0.3">
      <c r="A31" s="18" t="s">
        <v>20</v>
      </c>
      <c r="B31" s="20">
        <f>IF(AND($B$17="LTCG", B15&gt;=$B$3),($B$22/B26)*B14,"-NA-")</f>
        <v>136000</v>
      </c>
      <c r="D31" s="18" t="s">
        <v>30</v>
      </c>
      <c r="E31" s="40" t="str">
        <f>IF(B17="STCG",SUM(E30,-E29,-E27,-E28),"NA")</f>
        <v>NA</v>
      </c>
    </row>
    <row r="32" spans="1:11" ht="15" thickBot="1" x14ac:dyDescent="0.35">
      <c r="A32" s="27" t="s">
        <v>21</v>
      </c>
      <c r="B32" s="28">
        <f>SUM(B29:B31)</f>
        <v>280692.93970199139</v>
      </c>
      <c r="D32" s="35" t="s">
        <v>31</v>
      </c>
      <c r="E32" s="41" t="str">
        <f>IF($B$17="STCG",MAX($E$31*10.3%,0),"NA")</f>
        <v>NA</v>
      </c>
    </row>
    <row r="33" spans="1:5" x14ac:dyDescent="0.3">
      <c r="A33" s="29" t="s">
        <v>22</v>
      </c>
      <c r="B33" s="30">
        <f>SUM(B27,B32,B28)</f>
        <v>5021977.3433717163</v>
      </c>
      <c r="D33" s="35" t="s">
        <v>32</v>
      </c>
      <c r="E33" s="41" t="str">
        <f>IF($B$17="STCG",MAX($E$31*20.6%,0),"NA")</f>
        <v>NA</v>
      </c>
    </row>
    <row r="34" spans="1:5" x14ac:dyDescent="0.3">
      <c r="A34" s="18" t="s">
        <v>34</v>
      </c>
      <c r="B34" s="39">
        <f>IF(B17="LTCG",SUM(B4,-B33),"NA")</f>
        <v>978022.65662828367</v>
      </c>
      <c r="D34" s="33" t="s">
        <v>33</v>
      </c>
      <c r="E34" s="42" t="str">
        <f>IF($B$17="STCG",MAX($E$31*30.9%,0),"NA")</f>
        <v>NA</v>
      </c>
    </row>
    <row r="35" spans="1:5" x14ac:dyDescent="0.3">
      <c r="A35" s="32" t="s">
        <v>23</v>
      </c>
      <c r="B35" s="39">
        <f>IF(B17="LTCG",MAX(B34*20%,0),"NA")</f>
        <v>195604.53132565675</v>
      </c>
    </row>
    <row r="36" spans="1:5" x14ac:dyDescent="0.3">
      <c r="A36" s="32" t="s">
        <v>24</v>
      </c>
      <c r="B36" s="39">
        <f>IF(B17="LTCG",3%*B35,"NA")</f>
        <v>5868.1359397697024</v>
      </c>
    </row>
    <row r="37" spans="1:5" x14ac:dyDescent="0.3">
      <c r="A37" s="33" t="s">
        <v>25</v>
      </c>
      <c r="B37" s="34">
        <f>IF(B17="LTCG",SUM(B35:B36),"NA")</f>
        <v>201472.66726542645</v>
      </c>
    </row>
  </sheetData>
  <protectedRanges>
    <protectedRange sqref="K13:K22" name="Range1"/>
    <protectedRange sqref="B2 B4 B8 B10 B12 B14" name="Range1_2"/>
  </protectedRanges>
  <mergeCells count="7">
    <mergeCell ref="A1:K1"/>
    <mergeCell ref="D21:E26"/>
    <mergeCell ref="D20:E20"/>
    <mergeCell ref="D6:E8"/>
    <mergeCell ref="H2:J2"/>
    <mergeCell ref="A20:B20"/>
    <mergeCell ref="D2:E2"/>
  </mergeCells>
  <conditionalFormatting sqref="E20 B2:B15 E27 E29:E34 B17 B20:B37">
    <cfRule type="containsText" dxfId="15" priority="40" stopIfTrue="1" operator="containsText" text="NO TAX ON">
      <formula>NOT(ISERROR(SEARCH("NO TAX ON",B2)))</formula>
    </cfRule>
  </conditionalFormatting>
  <conditionalFormatting sqref="B3 B5 B9 B11 B13 B15">
    <cfRule type="cellIs" dxfId="14" priority="51" stopIfTrue="1" operator="lessThan">
      <formula>#REF!</formula>
    </cfRule>
  </conditionalFormatting>
  <conditionalFormatting sqref="E28">
    <cfRule type="containsText" dxfId="13" priority="6" stopIfTrue="1" operator="containsText" text="NO TAX ON">
      <formula>NOT(ISERROR(SEARCH("NO TAX ON",E28)))</formula>
    </cfRule>
  </conditionalFormatting>
  <conditionalFormatting sqref="E28">
    <cfRule type="containsText" dxfId="12" priority="5" stopIfTrue="1" operator="containsText" text="NO TAX ON">
      <formula>NOT(ISERROR(SEARCH("NO TAX ON",E28)))</formula>
    </cfRule>
  </conditionalFormatting>
  <conditionalFormatting sqref="D6">
    <cfRule type="containsText" dxfId="11" priority="4" stopIfTrue="1" operator="containsText" text="NO TAX ON">
      <formula>NOT(ISERROR(SEARCH("NO TAX ON",D6)))</formula>
    </cfRule>
  </conditionalFormatting>
  <conditionalFormatting sqref="D2">
    <cfRule type="containsText" dxfId="10" priority="3" stopIfTrue="1" operator="containsText" text="NO TAX ON">
      <formula>NOT(ISERROR(SEARCH("NO TAX ON",D2)))</formula>
    </cfRule>
  </conditionalFormatting>
  <conditionalFormatting sqref="D2">
    <cfRule type="cellIs" dxfId="9" priority="2" stopIfTrue="1" operator="lessThan">
      <formula>#REF!</formula>
    </cfRule>
  </conditionalFormatting>
  <conditionalFormatting sqref="D2:E2">
    <cfRule type="containsText" dxfId="8" priority="1" stopIfTrue="1" operator="containsText" text="NO TAX ON">
      <formula>NOT(ISERROR(SEARCH("NO TAX ON",D2)))</formula>
    </cfRule>
  </conditionalFormatting>
  <pageMargins left="0.7" right="0.7" top="0.75" bottom="0.75" header="0.3" footer="0.3"/>
  <pageSetup paperSize="9" scale="60" orientation="portrait" r:id="rId1"/>
  <headerFooter>
    <oddFooter>&amp;L1/23/2017&amp;CAXP Internal&amp;R1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Gain Calculator (2)</vt:lpstr>
      <vt:lpstr>Capital Gain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Kumar</dc:creator>
  <cp:lastModifiedBy>SARAT ROUT</cp:lastModifiedBy>
  <cp:lastPrinted>2018-07-20T15:03:29Z</cp:lastPrinted>
  <dcterms:created xsi:type="dcterms:W3CDTF">2017-01-23T14:36:39Z</dcterms:created>
  <dcterms:modified xsi:type="dcterms:W3CDTF">2018-07-20T15:19:51Z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Amit Kumar1</vt:lpwstr>
  </property>
  <property fmtid="{D5CDD505-2E9C-101B-9397-08002B2CF9AE}" pid="3" name="AXPDataClassification">
    <vt:lpwstr>AXP Internal</vt:lpwstr>
  </property>
  <property fmtid="{D5CDD505-2E9C-101B-9397-08002B2CF9AE}" pid="4" name="AXPDataClassificationForSearch">
    <vt:lpwstr>AXPInternal_UniqueSearchString</vt:lpwstr>
  </property>
</Properties>
</file>